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8" windowWidth="19152" windowHeight="8508"/>
  </bookViews>
  <sheets>
    <sheet name="N595GL" sheetId="1" r:id="rId1"/>
  </sheets>
  <calcPr calcId="145621"/>
  <fileRecoveryPr repairLoad="1"/>
</workbook>
</file>

<file path=xl/calcChain.xml><?xml version="1.0" encoding="utf-8"?>
<calcChain xmlns="http://schemas.openxmlformats.org/spreadsheetml/2006/main">
  <c r="D12" i="1" l="1"/>
  <c r="H13" i="1"/>
  <c r="F13" i="1"/>
  <c r="D14" i="1"/>
  <c r="D11" i="1"/>
  <c r="D10" i="1"/>
  <c r="H7" i="1" l="1"/>
  <c r="H6" i="1"/>
  <c r="L6" i="1" s="1"/>
  <c r="H11" i="1"/>
  <c r="L7" i="1" l="1"/>
  <c r="D18" i="1"/>
  <c r="D19" i="1"/>
  <c r="J5" i="1" l="1"/>
  <c r="F5" i="1"/>
  <c r="H5" i="1" s="1"/>
  <c r="O5" i="1" s="1"/>
  <c r="L5" i="1" l="1"/>
  <c r="O21" i="1"/>
  <c r="O6" i="1" s="1"/>
  <c r="O7" i="1" s="1"/>
  <c r="H15" i="1"/>
  <c r="L13" i="1"/>
  <c r="H10" i="1"/>
  <c r="H9" i="1"/>
  <c r="H8" i="1"/>
  <c r="L8" i="1" s="1"/>
  <c r="O8" i="1" l="1"/>
  <c r="L9" i="1"/>
  <c r="L10" i="1"/>
  <c r="L11" i="1"/>
  <c r="L15" i="1"/>
  <c r="O9" i="1" l="1"/>
  <c r="O10" i="1" s="1"/>
  <c r="O11" i="1" s="1"/>
  <c r="L12" i="1"/>
  <c r="P5" i="1"/>
  <c r="P6" i="1" s="1"/>
  <c r="P7" i="1" s="1"/>
  <c r="P8" i="1" l="1"/>
  <c r="N8" i="1" s="1"/>
  <c r="N7" i="1"/>
  <c r="N6" i="1"/>
  <c r="L14" i="1"/>
  <c r="N5" i="1"/>
  <c r="H12" i="1" l="1"/>
  <c r="J12" i="1" s="1"/>
  <c r="O13" i="1"/>
  <c r="O15" i="1" s="1"/>
  <c r="L16" i="1"/>
  <c r="P9" i="1"/>
  <c r="P10" i="1" s="1"/>
  <c r="P11" i="1" s="1"/>
  <c r="H14" i="1" l="1"/>
  <c r="D17" i="1" s="1"/>
  <c r="N9" i="1"/>
  <c r="H16" i="1" l="1"/>
  <c r="J16" i="1" s="1"/>
  <c r="J14" i="1"/>
  <c r="N10" i="1"/>
  <c r="P13" i="1" l="1"/>
  <c r="N11" i="1"/>
  <c r="N13" i="1" l="1"/>
  <c r="P15" i="1"/>
  <c r="N15" i="1" s="1"/>
</calcChain>
</file>

<file path=xl/sharedStrings.xml><?xml version="1.0" encoding="utf-8"?>
<sst xmlns="http://schemas.openxmlformats.org/spreadsheetml/2006/main" count="46" uniqueCount="45">
  <si>
    <t>NOTE: This is not official data.  The pilot in command is responsible for obtaining the official aircraft information for flight planning.</t>
  </si>
  <si>
    <t>Weight and Balance Worksheet</t>
  </si>
  <si>
    <t>Qty</t>
  </si>
  <si>
    <t>Weight</t>
  </si>
  <si>
    <t>Arm</t>
  </si>
  <si>
    <t>Moment</t>
  </si>
  <si>
    <t>Basic Empty Weight</t>
  </si>
  <si>
    <t>Pilot</t>
  </si>
  <si>
    <t>Co-Pilot</t>
  </si>
  <si>
    <t>Fuel For Start, Taxi, and Runup</t>
  </si>
  <si>
    <t>Estimated Fuel Burn (Gal.)</t>
  </si>
  <si>
    <t>Landing Weight</t>
  </si>
  <si>
    <t xml:space="preserve"> </t>
  </si>
  <si>
    <t>Aircraft Specifications</t>
  </si>
  <si>
    <t>= Maximum gross weight</t>
  </si>
  <si>
    <t>= Basic empty weight</t>
  </si>
  <si>
    <t>= Useful load</t>
  </si>
  <si>
    <t>V speeds (units in KIAS)</t>
  </si>
  <si>
    <t>= Aircraft C.G.</t>
  </si>
  <si>
    <t>= Baggage maximum</t>
  </si>
  <si>
    <t>= Fuel max gal, min gal.</t>
  </si>
  <si>
    <t>= CG, Wgt 1st point in envelope</t>
  </si>
  <si>
    <t>= CG, Wgt 2nd point in envelope</t>
  </si>
  <si>
    <t>Enroute climb = 80</t>
  </si>
  <si>
    <t>= CG, Wgt 3rd point in envelope</t>
  </si>
  <si>
    <t>= CG, Wgt 4th point in envelope</t>
  </si>
  <si>
    <t>= CG, Wgt 5th point in envelope</t>
  </si>
  <si>
    <t>* The maximum allowable weight capacity for the baggage area is 44 lbs</t>
  </si>
  <si>
    <t>= CG, Wgt 6th point in envelope</t>
  </si>
  <si>
    <t>Wheel Fairing, Main Gear</t>
  </si>
  <si>
    <t>Wheel Fairing, Nose Gear</t>
  </si>
  <si>
    <t>Va = 106</t>
  </si>
  <si>
    <t>Vfe (Takeoff) = 100</t>
  </si>
  <si>
    <t>Vfe (Landing) = 78</t>
  </si>
  <si>
    <t>Vno = 118</t>
  </si>
  <si>
    <t>Vne = 164</t>
  </si>
  <si>
    <t>Vy (Cruise Flaps) = 75</t>
  </si>
  <si>
    <t>Vx (Cruise Flaps) = 60</t>
  </si>
  <si>
    <t>Vy (T/O Flaps) = 68</t>
  </si>
  <si>
    <t>Vx (T/O Flaps) = 57</t>
  </si>
  <si>
    <t>Vr = 44</t>
  </si>
  <si>
    <t>Vso = 36</t>
  </si>
  <si>
    <r>
      <t>Vs</t>
    </r>
    <r>
      <rPr>
        <vertAlign val="subscript"/>
        <sz val="8"/>
        <rFont val="Arial"/>
        <family val="2"/>
      </rPr>
      <t>1</t>
    </r>
    <r>
      <rPr>
        <sz val="8"/>
        <rFont val="Arial"/>
        <family val="2"/>
      </rPr>
      <t xml:space="preserve"> = 44</t>
    </r>
  </si>
  <si>
    <t>Best glide = 73</t>
  </si>
  <si>
    <t>N582DC Diamond DA20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</si>
</sst>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8"/>
      <color indexed="18"/>
      <name val="Arial"/>
      <family val="2"/>
    </font>
    <font>
      <b/>
      <sz val="14"/>
      <color indexed="18"/>
      <name val="Arial"/>
      <family val="2"/>
    </font>
    <font>
      <i/>
      <sz val="8"/>
      <color indexed="18"/>
      <name val="Arial"/>
      <family val="2"/>
    </font>
    <font>
      <i/>
      <sz val="10"/>
      <color indexed="18"/>
      <name val="MS Sans Serif"/>
      <family val="2"/>
    </font>
    <font>
      <sz val="12"/>
      <color indexed="18"/>
      <name val="Arial"/>
      <family val="2"/>
    </font>
    <font>
      <b/>
      <sz val="18"/>
      <color indexed="18"/>
      <name val="Times New Roman"/>
      <family val="1"/>
    </font>
    <font>
      <b/>
      <sz val="8"/>
      <name val="Arial"/>
      <family val="2"/>
    </font>
    <font>
      <sz val="8"/>
      <color indexed="12"/>
      <name val="Arial"/>
      <family val="2"/>
    </font>
    <font>
      <sz val="8"/>
      <color indexed="18"/>
      <name val="Arial"/>
      <family val="2"/>
    </font>
    <font>
      <sz val="8"/>
      <color indexed="17"/>
      <name val="Arial"/>
      <family val="2"/>
    </font>
    <font>
      <sz val="8"/>
      <color indexed="20"/>
      <name val="Arial"/>
      <family val="2"/>
    </font>
    <font>
      <sz val="8"/>
      <color indexed="14"/>
      <name val="Arial"/>
      <family val="2"/>
    </font>
    <font>
      <sz val="8"/>
      <color theme="9" tint="-0.249977111117893"/>
      <name val="Arial"/>
      <family val="2"/>
    </font>
    <font>
      <sz val="8"/>
      <color indexed="11"/>
      <name val="Arial"/>
      <family val="2"/>
    </font>
    <font>
      <b/>
      <sz val="8"/>
      <color indexed="10"/>
      <name val="Arial"/>
      <family val="2"/>
    </font>
    <font>
      <b/>
      <sz val="8"/>
      <color indexed="20"/>
      <name val="Arial"/>
      <family val="2"/>
    </font>
    <font>
      <sz val="10"/>
      <color indexed="22"/>
      <name val="MS Sans Serif"/>
      <family val="2"/>
    </font>
    <font>
      <vertAlign val="subscript"/>
      <sz val="8"/>
      <name val="Arial"/>
      <family val="2"/>
    </font>
    <font>
      <sz val="10"/>
      <color indexed="1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Alignment="1" applyProtection="1">
      <alignment horizontal="center"/>
    </xf>
    <xf numFmtId="0" fontId="1" fillId="0" borderId="0" xfId="0" applyFont="1" applyProtection="1"/>
    <xf numFmtId="0" fontId="6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/>
    </xf>
    <xf numFmtId="0" fontId="7" fillId="2" borderId="0" xfId="0" applyFont="1" applyFill="1" applyAlignment="1" applyProtection="1">
      <alignment horizontal="center"/>
    </xf>
    <xf numFmtId="0" fontId="1" fillId="2" borderId="1" xfId="0" applyFont="1" applyFill="1" applyBorder="1" applyProtection="1"/>
    <xf numFmtId="0" fontId="1" fillId="2" borderId="0" xfId="0" applyFont="1" applyFill="1" applyBorder="1" applyProtection="1"/>
    <xf numFmtId="0" fontId="8" fillId="2" borderId="1" xfId="0" applyFont="1" applyFill="1" applyBorder="1" applyAlignment="1" applyProtection="1">
      <alignment horizontal="right"/>
    </xf>
    <xf numFmtId="0" fontId="8" fillId="2" borderId="0" xfId="0" applyFont="1" applyFill="1" applyAlignment="1" applyProtection="1">
      <alignment horizontal="right"/>
    </xf>
    <xf numFmtId="0" fontId="1" fillId="2" borderId="0" xfId="0" applyFont="1" applyFill="1" applyAlignment="1" applyProtection="1">
      <alignment horizontal="right"/>
    </xf>
    <xf numFmtId="2" fontId="1" fillId="2" borderId="0" xfId="0" applyNumberFormat="1" applyFont="1" applyFill="1" applyProtection="1"/>
    <xf numFmtId="164" fontId="1" fillId="2" borderId="0" xfId="0" applyNumberFormat="1" applyFont="1" applyFill="1" applyProtection="1"/>
    <xf numFmtId="4" fontId="1" fillId="2" borderId="0" xfId="0" applyNumberFormat="1" applyFont="1" applyFill="1" applyProtection="1"/>
    <xf numFmtId="0" fontId="9" fillId="2" borderId="0" xfId="0" applyFont="1" applyFill="1" applyProtection="1"/>
    <xf numFmtId="0" fontId="9" fillId="0" borderId="0" xfId="0" applyFont="1" applyFill="1" applyProtection="1">
      <protection locked="0"/>
    </xf>
    <xf numFmtId="2" fontId="9" fillId="2" borderId="0" xfId="0" applyNumberFormat="1" applyFont="1" applyFill="1" applyProtection="1"/>
    <xf numFmtId="4" fontId="9" fillId="2" borderId="0" xfId="0" applyNumberFormat="1" applyFont="1" applyFill="1" applyProtection="1"/>
    <xf numFmtId="2" fontId="10" fillId="2" borderId="0" xfId="0" applyNumberFormat="1" applyFont="1" applyFill="1" applyProtection="1"/>
    <xf numFmtId="0" fontId="0" fillId="2" borderId="0" xfId="0" applyFill="1" applyProtection="1"/>
    <xf numFmtId="2" fontId="11" fillId="2" borderId="0" xfId="0" applyNumberFormat="1" applyFont="1" applyFill="1" applyProtection="1"/>
    <xf numFmtId="0" fontId="12" fillId="2" borderId="0" xfId="0" applyFont="1" applyFill="1" applyProtection="1"/>
    <xf numFmtId="0" fontId="12" fillId="0" borderId="0" xfId="0" applyFont="1" applyFill="1" applyProtection="1">
      <protection locked="0"/>
    </xf>
    <xf numFmtId="2" fontId="12" fillId="2" borderId="0" xfId="0" applyNumberFormat="1" applyFont="1" applyFill="1" applyProtection="1"/>
    <xf numFmtId="4" fontId="12" fillId="2" borderId="0" xfId="0" applyNumberFormat="1" applyFont="1" applyFill="1" applyProtection="1"/>
    <xf numFmtId="2" fontId="13" fillId="2" borderId="0" xfId="0" applyNumberFormat="1" applyFont="1" applyFill="1" applyProtection="1"/>
    <xf numFmtId="0" fontId="14" fillId="2" borderId="1" xfId="0" applyFont="1" applyFill="1" applyBorder="1" applyProtection="1"/>
    <xf numFmtId="0" fontId="14" fillId="0" borderId="1" xfId="0" applyFont="1" applyFill="1" applyBorder="1" applyProtection="1">
      <protection locked="0"/>
    </xf>
    <xf numFmtId="2" fontId="14" fillId="2" borderId="1" xfId="0" applyNumberFormat="1" applyFont="1" applyFill="1" applyBorder="1" applyProtection="1"/>
    <xf numFmtId="165" fontId="14" fillId="2" borderId="1" xfId="0" applyNumberFormat="1" applyFont="1" applyFill="1" applyBorder="1" applyProtection="1"/>
    <xf numFmtId="2" fontId="15" fillId="2" borderId="0" xfId="0" applyNumberFormat="1" applyFont="1" applyFill="1" applyProtection="1"/>
    <xf numFmtId="0" fontId="1" fillId="2" borderId="0" xfId="0" applyFont="1" applyFill="1" applyBorder="1" applyAlignment="1" applyProtection="1">
      <alignment horizontal="left"/>
    </xf>
    <xf numFmtId="2" fontId="1" fillId="2" borderId="0" xfId="0" applyNumberFormat="1" applyFont="1" applyFill="1" applyBorder="1" applyProtection="1"/>
    <xf numFmtId="4" fontId="1" fillId="2" borderId="0" xfId="0" applyNumberFormat="1" applyFont="1" applyFill="1" applyBorder="1" applyProtection="1"/>
    <xf numFmtId="0" fontId="1" fillId="2" borderId="1" xfId="0" applyFont="1" applyFill="1" applyBorder="1" applyAlignment="1" applyProtection="1">
      <alignment horizontal="left"/>
    </xf>
    <xf numFmtId="2" fontId="1" fillId="2" borderId="1" xfId="0" applyNumberFormat="1" applyFont="1" applyFill="1" applyBorder="1" applyAlignment="1" applyProtection="1">
      <alignment horizontal="right"/>
    </xf>
    <xf numFmtId="164" fontId="1" fillId="2" borderId="1" xfId="0" applyNumberFormat="1" applyFont="1" applyFill="1" applyBorder="1" applyProtection="1"/>
    <xf numFmtId="2" fontId="1" fillId="2" borderId="1" xfId="0" applyNumberFormat="1" applyFont="1" applyFill="1" applyBorder="1" applyProtection="1"/>
    <xf numFmtId="3" fontId="1" fillId="2" borderId="1" xfId="0" applyNumberFormat="1" applyFont="1" applyFill="1" applyBorder="1" applyProtection="1"/>
    <xf numFmtId="4" fontId="1" fillId="2" borderId="1" xfId="0" applyNumberFormat="1" applyFont="1" applyFill="1" applyBorder="1" applyProtection="1"/>
    <xf numFmtId="0" fontId="16" fillId="2" borderId="0" xfId="0" applyFont="1" applyFill="1" applyProtection="1"/>
    <xf numFmtId="0" fontId="8" fillId="2" borderId="0" xfId="0" applyFont="1" applyFill="1" applyProtection="1"/>
    <xf numFmtId="0" fontId="1" fillId="2" borderId="0" xfId="0" quotePrefix="1" applyFont="1" applyFill="1" applyProtection="1"/>
    <xf numFmtId="0" fontId="8" fillId="2" borderId="2" xfId="0" applyFont="1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</xf>
    <xf numFmtId="0" fontId="17" fillId="2" borderId="0" xfId="0" applyFont="1" applyFill="1" applyAlignment="1" applyProtection="1"/>
    <xf numFmtId="0" fontId="1" fillId="2" borderId="4" xfId="0" applyFont="1" applyFill="1" applyBorder="1" applyAlignment="1" applyProtection="1">
      <alignment horizontal="left"/>
    </xf>
    <xf numFmtId="0" fontId="1" fillId="2" borderId="5" xfId="0" applyFont="1" applyFill="1" applyBorder="1" applyAlignment="1" applyProtection="1">
      <alignment horizontal="left"/>
    </xf>
    <xf numFmtId="0" fontId="0" fillId="2" borderId="0" xfId="0" applyFill="1" applyAlignment="1" applyProtection="1"/>
    <xf numFmtId="1" fontId="18" fillId="2" borderId="0" xfId="0" applyNumberFormat="1" applyFont="1" applyFill="1" applyAlignment="1" applyProtection="1"/>
    <xf numFmtId="0" fontId="1" fillId="2" borderId="5" xfId="0" applyFont="1" applyFill="1" applyBorder="1" applyProtection="1"/>
    <xf numFmtId="0" fontId="1" fillId="2" borderId="4" xfId="0" applyFont="1" applyFill="1" applyBorder="1" applyProtection="1"/>
    <xf numFmtId="0" fontId="1" fillId="0" borderId="0" xfId="0" applyFont="1" applyFill="1" applyProtection="1"/>
    <xf numFmtId="0" fontId="10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0" fontId="1" fillId="0" borderId="1" xfId="0" applyFon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/>
    <xf numFmtId="0" fontId="1" fillId="2" borderId="8" xfId="0" applyFont="1" applyFill="1" applyBorder="1" applyProtection="1"/>
    <xf numFmtId="0" fontId="1" fillId="2" borderId="6" xfId="0" applyFont="1" applyFill="1" applyBorder="1" applyAlignment="1" applyProtection="1">
      <alignment horizontal="left"/>
    </xf>
    <xf numFmtId="0" fontId="1" fillId="2" borderId="7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2" fontId="1" fillId="2" borderId="0" xfId="0" applyNumberFormat="1" applyFont="1" applyFill="1" applyProtection="1"/>
    <xf numFmtId="0" fontId="4" fillId="2" borderId="0" xfId="0" applyFont="1" applyFill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0" fontId="17" fillId="2" borderId="0" xfId="0" applyFont="1" applyFill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68456980585935"/>
          <c:y val="6.779679719720294E-2"/>
          <c:w val="0.69079058322397979"/>
          <c:h val="0.77118856811818226"/>
        </c:manualLayout>
      </c:layout>
      <c:scatterChart>
        <c:scatterStyle val="lineMarker"/>
        <c:varyColors val="0"/>
        <c:ser>
          <c:idx val="0"/>
          <c:order val="0"/>
          <c:tx>
            <c:v>Envelope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N595GL!$N$25:$N$30</c:f>
              <c:numCache>
                <c:formatCode>0.00</c:formatCode>
                <c:ptCount val="6"/>
                <c:pt idx="0">
                  <c:v>7.95</c:v>
                </c:pt>
                <c:pt idx="1">
                  <c:v>7.95</c:v>
                </c:pt>
                <c:pt idx="2">
                  <c:v>8.07</c:v>
                </c:pt>
                <c:pt idx="3">
                  <c:v>12.16</c:v>
                </c:pt>
                <c:pt idx="4">
                  <c:v>12.48</c:v>
                </c:pt>
                <c:pt idx="5">
                  <c:v>12.48</c:v>
                </c:pt>
              </c:numCache>
            </c:numRef>
          </c:xVal>
          <c:yVal>
            <c:numRef>
              <c:f>N595GL!$O$25:$O$30</c:f>
              <c:numCache>
                <c:formatCode>General</c:formatCode>
                <c:ptCount val="6"/>
                <c:pt idx="0">
                  <c:v>1200</c:v>
                </c:pt>
                <c:pt idx="1">
                  <c:v>1653</c:v>
                </c:pt>
                <c:pt idx="2">
                  <c:v>1764</c:v>
                </c:pt>
                <c:pt idx="3">
                  <c:v>1764</c:v>
                </c:pt>
                <c:pt idx="4">
                  <c:v>1653</c:v>
                </c:pt>
                <c:pt idx="5">
                  <c:v>1200</c:v>
                </c:pt>
              </c:numCache>
            </c:numRef>
          </c:yVal>
          <c:smooth val="0"/>
        </c:ser>
        <c:ser>
          <c:idx val="2"/>
          <c:order val="1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N595GL!$N$7:$N$8</c:f>
              <c:numCache>
                <c:formatCode>0.00</c:formatCode>
                <c:ptCount val="2"/>
                <c:pt idx="0">
                  <c:v>8.3000000000000007</c:v>
                </c:pt>
                <c:pt idx="1">
                  <c:v>8.3000000000000007</c:v>
                </c:pt>
              </c:numCache>
            </c:numRef>
          </c:xVal>
          <c:yVal>
            <c:numRef>
              <c:f>N595GL!$O$7:$O$8</c:f>
              <c:numCache>
                <c:formatCode>0.00</c:formatCode>
                <c:ptCount val="2"/>
                <c:pt idx="0">
                  <c:v>1215.8599999999999</c:v>
                </c:pt>
                <c:pt idx="1">
                  <c:v>1215.8599999999999</c:v>
                </c:pt>
              </c:numCache>
            </c:numRef>
          </c:yVal>
          <c:smooth val="0"/>
        </c:ser>
        <c:ser>
          <c:idx val="3"/>
          <c:order val="2"/>
          <c:tx>
            <c:v>Co-Pilot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N595GL!$N$8:$N$9</c:f>
              <c:numCache>
                <c:formatCode>0.00</c:formatCode>
                <c:ptCount val="2"/>
                <c:pt idx="0">
                  <c:v>8.3000000000000007</c:v>
                </c:pt>
                <c:pt idx="1">
                  <c:v>8.3000000000000007</c:v>
                </c:pt>
              </c:numCache>
            </c:numRef>
          </c:xVal>
          <c:yVal>
            <c:numRef>
              <c:f>N595GL!$O$8:$O$9</c:f>
              <c:numCache>
                <c:formatCode>0.00</c:formatCode>
                <c:ptCount val="2"/>
                <c:pt idx="0">
                  <c:v>1215.8599999999999</c:v>
                </c:pt>
                <c:pt idx="1">
                  <c:v>1215.8599999999999</c:v>
                </c:pt>
              </c:numCache>
            </c:numRef>
          </c:yVal>
          <c:smooth val="0"/>
        </c:ser>
        <c:ser>
          <c:idx val="6"/>
          <c:order val="3"/>
          <c:tx>
            <c:v>Baggage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N595GL!$N$9:$N$10</c:f>
              <c:numCache>
                <c:formatCode>0.00</c:formatCode>
                <c:ptCount val="2"/>
                <c:pt idx="0">
                  <c:v>8.3000000000000007</c:v>
                </c:pt>
                <c:pt idx="1">
                  <c:v>8.3988647346952163</c:v>
                </c:pt>
              </c:numCache>
            </c:numRef>
          </c:xVal>
          <c:yVal>
            <c:numRef>
              <c:f>N595GL!$O$9:$O$10</c:f>
              <c:numCache>
                <c:formatCode>0.00</c:formatCode>
                <c:ptCount val="2"/>
                <c:pt idx="0">
                  <c:v>1215.8599999999999</c:v>
                </c:pt>
                <c:pt idx="1">
                  <c:v>1220.8599999999999</c:v>
                </c:pt>
              </c:numCache>
            </c:numRef>
          </c:yVal>
          <c:smooth val="0"/>
        </c:ser>
        <c:ser>
          <c:idx val="8"/>
          <c:order val="4"/>
          <c:tx>
            <c:v>Fuel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N595GL!$N$10:$N$11</c:f>
              <c:numCache>
                <c:formatCode>0.00</c:formatCode>
                <c:ptCount val="2"/>
                <c:pt idx="0">
                  <c:v>8.3988647346952163</c:v>
                </c:pt>
                <c:pt idx="1">
                  <c:v>10.935332561581408</c:v>
                </c:pt>
              </c:numCache>
            </c:numRef>
          </c:xVal>
          <c:yVal>
            <c:numRef>
              <c:f>N595GL!$O$10:$O$11</c:f>
              <c:numCache>
                <c:formatCode>0.00</c:formatCode>
                <c:ptCount val="2"/>
                <c:pt idx="0">
                  <c:v>1220.8599999999999</c:v>
                </c:pt>
                <c:pt idx="1">
                  <c:v>1364.86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732352"/>
        <c:axId val="39734656"/>
      </c:scatterChart>
      <c:valAx>
        <c:axId val="39732352"/>
        <c:scaling>
          <c:orientation val="minMax"/>
          <c:max val="13"/>
          <c:min val="7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C.G. Location (Inches Aft Datum)</a:t>
                </a:r>
              </a:p>
            </c:rich>
          </c:tx>
          <c:layout>
            <c:manualLayout>
              <c:xMode val="edge"/>
              <c:yMode val="edge"/>
              <c:x val="0.25328981903577841"/>
              <c:y val="0.906782033601732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39734656"/>
        <c:crosses val="autoZero"/>
        <c:crossBetween val="midCat"/>
      </c:valAx>
      <c:valAx>
        <c:axId val="39734656"/>
        <c:scaling>
          <c:orientation val="minMax"/>
          <c:max val="1800"/>
          <c:min val="12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MS Sans Serif"/>
                    <a:ea typeface="MS Sans Serif"/>
                    <a:cs typeface="MS Sans Serif"/>
                  </a:defRPr>
                </a:pPr>
                <a:r>
                  <a:rPr lang="en-US"/>
                  <a:t>Aircraft Weight (lbs)</a:t>
                </a:r>
              </a:p>
            </c:rich>
          </c:tx>
          <c:layout>
            <c:manualLayout>
              <c:xMode val="edge"/>
              <c:yMode val="edge"/>
              <c:x val="5.2631578947368432E-2"/>
              <c:y val="0.285311624182570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en-US"/>
          </a:p>
        </c:txPr>
        <c:crossAx val="397323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0C0C0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n-US"/>
    </a:p>
  </c:txPr>
  <c:printSettings>
    <c:headerFooter alignWithMargins="0"/>
    <c:pageMargins b="1" l="0.75000000000000122" r="0.750000000000001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2</xdr:col>
      <xdr:colOff>1543050</xdr:colOff>
      <xdr:row>18</xdr:row>
      <xdr:rowOff>85725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zoomScaleNormal="100" workbookViewId="0">
      <selection activeCell="D3" sqref="D3"/>
    </sheetView>
  </sheetViews>
  <sheetFormatPr defaultColWidth="9.109375" defaultRowHeight="12.75" customHeight="1" x14ac:dyDescent="0.2"/>
  <cols>
    <col min="1" max="1" width="1.88671875" style="4" customWidth="1"/>
    <col min="2" max="2" width="20.33203125" style="4" customWidth="1"/>
    <col min="3" max="3" width="25.33203125" style="4" customWidth="1"/>
    <col min="4" max="4" width="24.33203125" style="4" customWidth="1"/>
    <col min="5" max="5" width="0.33203125" style="4" hidden="1" customWidth="1"/>
    <col min="6" max="6" width="7.33203125" style="4" customWidth="1"/>
    <col min="7" max="7" width="0.33203125" style="4" hidden="1" customWidth="1"/>
    <col min="8" max="8" width="8.5546875" style="4" customWidth="1"/>
    <col min="9" max="9" width="0.33203125" style="4" hidden="1" customWidth="1"/>
    <col min="10" max="10" width="7" style="4" customWidth="1"/>
    <col min="11" max="11" width="0.33203125" style="4" hidden="1" customWidth="1"/>
    <col min="12" max="12" width="10.33203125" style="4" customWidth="1"/>
    <col min="13" max="13" width="0.88671875" style="4" hidden="1" customWidth="1"/>
    <col min="14" max="14" width="6.88671875" style="4" customWidth="1"/>
    <col min="15" max="15" width="6.5546875" style="4" customWidth="1"/>
    <col min="16" max="16" width="9" style="4" customWidth="1"/>
    <col min="17" max="18" width="4.44140625" style="4" customWidth="1"/>
    <col min="19" max="19" width="10.88671875" style="4" customWidth="1"/>
    <col min="20" max="20" width="2.6640625" style="4" customWidth="1"/>
    <col min="21" max="16384" width="9.109375" style="4"/>
  </cols>
  <sheetData>
    <row r="1" spans="1:19" ht="22.8" x14ac:dyDescent="0.4">
      <c r="A1" s="1"/>
      <c r="B1" s="1"/>
      <c r="C1" s="2"/>
      <c r="D1" s="65" t="s">
        <v>44</v>
      </c>
      <c r="E1" s="2"/>
      <c r="F1" s="2"/>
      <c r="G1" s="2"/>
      <c r="H1" s="3"/>
      <c r="I1" s="2"/>
      <c r="J1" s="2"/>
      <c r="K1" s="2"/>
      <c r="L1" s="67" t="s">
        <v>0</v>
      </c>
      <c r="M1" s="68"/>
      <c r="N1" s="68"/>
      <c r="O1" s="68"/>
      <c r="P1" s="68"/>
      <c r="Q1" s="68"/>
      <c r="R1" s="68"/>
      <c r="S1" s="68"/>
    </row>
    <row r="2" spans="1:19" ht="15" x14ac:dyDescent="0.25">
      <c r="A2" s="1"/>
      <c r="B2" s="1"/>
      <c r="C2" s="5"/>
      <c r="D2" s="6" t="s">
        <v>1</v>
      </c>
      <c r="E2" s="5"/>
      <c r="F2" s="5"/>
      <c r="G2" s="5"/>
      <c r="H2" s="5"/>
      <c r="I2" s="5"/>
      <c r="J2" s="5"/>
      <c r="K2" s="5"/>
      <c r="L2" s="68"/>
      <c r="M2" s="68"/>
      <c r="N2" s="68"/>
      <c r="O2" s="68"/>
      <c r="P2" s="68"/>
      <c r="Q2" s="68"/>
      <c r="R2" s="68"/>
      <c r="S2" s="68"/>
    </row>
    <row r="3" spans="1:19" ht="22.8" x14ac:dyDescent="0.4">
      <c r="A3" s="1"/>
      <c r="B3" s="7"/>
      <c r="C3" s="7"/>
      <c r="D3" s="7"/>
      <c r="E3" s="7"/>
      <c r="F3" s="7"/>
      <c r="G3" s="8"/>
      <c r="H3" s="1"/>
      <c r="I3" s="1"/>
      <c r="J3" s="7"/>
      <c r="K3" s="7"/>
      <c r="L3" s="7"/>
      <c r="M3" s="1"/>
      <c r="N3" s="1"/>
      <c r="O3" s="1"/>
      <c r="P3" s="1"/>
      <c r="Q3" s="1"/>
      <c r="R3" s="1"/>
      <c r="S3" s="1"/>
    </row>
    <row r="4" spans="1:19" ht="10.199999999999999" x14ac:dyDescent="0.2">
      <c r="A4" s="1"/>
      <c r="B4" s="7"/>
      <c r="C4" s="7"/>
      <c r="D4" s="9"/>
      <c r="E4" s="10"/>
      <c r="F4" s="11" t="s">
        <v>2</v>
      </c>
      <c r="G4" s="1"/>
      <c r="H4" s="11" t="s">
        <v>3</v>
      </c>
      <c r="I4" s="12"/>
      <c r="J4" s="11" t="s">
        <v>4</v>
      </c>
      <c r="K4" s="12"/>
      <c r="L4" s="11" t="s">
        <v>5</v>
      </c>
      <c r="M4" s="13"/>
      <c r="N4" s="14"/>
      <c r="O4" s="14"/>
      <c r="P4" s="1"/>
      <c r="Q4" s="1"/>
      <c r="R4" s="1"/>
      <c r="S4" s="1"/>
    </row>
    <row r="5" spans="1:19" ht="10.199999999999999" x14ac:dyDescent="0.2">
      <c r="A5" s="1"/>
      <c r="B5" s="1"/>
      <c r="C5" s="1"/>
      <c r="D5" s="1" t="s">
        <v>6</v>
      </c>
      <c r="E5" s="10"/>
      <c r="F5" s="14">
        <f>O20</f>
        <v>1215.8599999999999</v>
      </c>
      <c r="G5" s="1"/>
      <c r="H5" s="15">
        <f>F5</f>
        <v>1215.8599999999999</v>
      </c>
      <c r="I5" s="1"/>
      <c r="J5" s="14">
        <f>O22</f>
        <v>8.3000000000000007</v>
      </c>
      <c r="K5" s="14"/>
      <c r="L5" s="16">
        <f>H5*J5</f>
        <v>10091.638000000001</v>
      </c>
      <c r="M5" s="14"/>
      <c r="N5" s="14">
        <f t="shared" ref="N5:N9" si="0">P5/O5</f>
        <v>8.3000000000000007</v>
      </c>
      <c r="O5" s="14">
        <f>H5</f>
        <v>1215.8599999999999</v>
      </c>
      <c r="P5" s="14">
        <f>L5</f>
        <v>10091.638000000001</v>
      </c>
      <c r="Q5" s="14"/>
      <c r="R5" s="1"/>
      <c r="S5" s="1"/>
    </row>
    <row r="6" spans="1:19" ht="10.199999999999999" x14ac:dyDescent="0.2">
      <c r="A6" s="1"/>
      <c r="B6" s="1"/>
      <c r="C6" s="1"/>
      <c r="D6" s="1" t="s">
        <v>29</v>
      </c>
      <c r="E6" s="10"/>
      <c r="F6" s="14"/>
      <c r="G6" s="1"/>
      <c r="H6" s="15">
        <f>2.7*F6</f>
        <v>0</v>
      </c>
      <c r="I6" s="1"/>
      <c r="J6" s="14">
        <v>27.6</v>
      </c>
      <c r="K6" s="14"/>
      <c r="L6" s="16">
        <f>H6*J6</f>
        <v>0</v>
      </c>
      <c r="M6" s="14"/>
      <c r="N6" s="14">
        <f t="shared" ref="N6" si="1">P6/O6</f>
        <v>8.3000000000000007</v>
      </c>
      <c r="O6" s="14">
        <f>H6+O5</f>
        <v>1215.8599999999999</v>
      </c>
      <c r="P6" s="14">
        <f>L6+P5</f>
        <v>10091.638000000001</v>
      </c>
      <c r="Q6" s="14"/>
      <c r="R6" s="1"/>
      <c r="S6" s="1"/>
    </row>
    <row r="7" spans="1:19" ht="10.199999999999999" x14ac:dyDescent="0.2">
      <c r="A7" s="1"/>
      <c r="B7" s="1"/>
      <c r="C7" s="1"/>
      <c r="D7" s="1" t="s">
        <v>30</v>
      </c>
      <c r="E7" s="10"/>
      <c r="F7" s="14"/>
      <c r="G7" s="1"/>
      <c r="H7" s="15">
        <f>2.7*F7</f>
        <v>0</v>
      </c>
      <c r="I7" s="1"/>
      <c r="J7" s="14">
        <v>-44.8</v>
      </c>
      <c r="K7" s="14"/>
      <c r="L7" s="16">
        <f>H7*J7</f>
        <v>0</v>
      </c>
      <c r="M7" s="14"/>
      <c r="N7" s="14">
        <f t="shared" ref="N7" si="2">P7/O7</f>
        <v>8.3000000000000007</v>
      </c>
      <c r="O7" s="14">
        <f>H7+O6</f>
        <v>1215.8599999999999</v>
      </c>
      <c r="P7" s="14">
        <f>L7+P6</f>
        <v>10091.638000000001</v>
      </c>
      <c r="Q7" s="14"/>
      <c r="R7" s="1"/>
      <c r="S7" s="1"/>
    </row>
    <row r="8" spans="1:19" ht="14.4" x14ac:dyDescent="0.3">
      <c r="A8" s="1"/>
      <c r="B8" s="1"/>
      <c r="C8" s="1"/>
      <c r="D8" s="17" t="s">
        <v>7</v>
      </c>
      <c r="E8" s="17"/>
      <c r="F8" s="18">
        <v>0</v>
      </c>
      <c r="G8" s="17"/>
      <c r="H8" s="17">
        <f t="shared" ref="H8:H9" si="3">F8</f>
        <v>0</v>
      </c>
      <c r="I8" s="17"/>
      <c r="J8" s="19">
        <v>5.63</v>
      </c>
      <c r="K8" s="19"/>
      <c r="L8" s="20">
        <f t="shared" ref="L8:L9" si="4">H8*J8</f>
        <v>0</v>
      </c>
      <c r="M8" s="21"/>
      <c r="N8" s="14">
        <f>P8/O8</f>
        <v>8.3000000000000007</v>
      </c>
      <c r="O8" s="14">
        <f>H8+O7</f>
        <v>1215.8599999999999</v>
      </c>
      <c r="P8" s="14">
        <f t="shared" ref="P8" si="5">L8+P7</f>
        <v>10091.638000000001</v>
      </c>
      <c r="Q8" s="14"/>
      <c r="R8" s="1"/>
      <c r="S8" s="22"/>
    </row>
    <row r="9" spans="1:19" ht="14.4" x14ac:dyDescent="0.3">
      <c r="A9" s="1"/>
      <c r="B9" s="1"/>
      <c r="C9" s="1"/>
      <c r="D9" s="17" t="s">
        <v>8</v>
      </c>
      <c r="E9" s="17"/>
      <c r="F9" s="18">
        <v>0</v>
      </c>
      <c r="G9" s="17"/>
      <c r="H9" s="17">
        <f t="shared" si="3"/>
        <v>0</v>
      </c>
      <c r="I9" s="17"/>
      <c r="J9" s="19">
        <v>5.63</v>
      </c>
      <c r="K9" s="19"/>
      <c r="L9" s="20">
        <f t="shared" si="4"/>
        <v>0</v>
      </c>
      <c r="M9" s="23"/>
      <c r="N9" s="14">
        <f t="shared" si="0"/>
        <v>8.3000000000000007</v>
      </c>
      <c r="O9" s="14">
        <f t="shared" ref="O9" si="6">H9+O8</f>
        <v>1215.8599999999999</v>
      </c>
      <c r="P9" s="14">
        <f t="shared" ref="P9" si="7">L9+P8</f>
        <v>10091.638000000001</v>
      </c>
      <c r="Q9" s="14"/>
      <c r="R9" s="1"/>
      <c r="S9" s="22"/>
    </row>
    <row r="10" spans="1:19" ht="14.4" x14ac:dyDescent="0.3">
      <c r="A10" s="1"/>
      <c r="B10" s="1"/>
      <c r="C10" s="1"/>
      <c r="D10" s="24" t="str">
        <f>"Baggage Area 1* ("&amp;O23&amp;"lbs Max)"</f>
        <v>Baggage Area 1* (44lbs Max)</v>
      </c>
      <c r="E10" s="24"/>
      <c r="F10" s="25">
        <v>5</v>
      </c>
      <c r="G10" s="24"/>
      <c r="H10" s="24">
        <f>F10</f>
        <v>5</v>
      </c>
      <c r="I10" s="24"/>
      <c r="J10" s="26">
        <v>32.44</v>
      </c>
      <c r="K10" s="26"/>
      <c r="L10" s="27">
        <f>H10*J10</f>
        <v>162.19999999999999</v>
      </c>
      <c r="M10" s="28"/>
      <c r="N10" s="14">
        <f>P10/O10</f>
        <v>8.3988647346952163</v>
      </c>
      <c r="O10" s="14">
        <f>H10+O9</f>
        <v>1220.8599999999999</v>
      </c>
      <c r="P10" s="14">
        <f>L10+P9</f>
        <v>10253.838000000002</v>
      </c>
      <c r="Q10" s="14"/>
      <c r="R10" s="1"/>
      <c r="S10" s="22"/>
    </row>
    <row r="11" spans="1:19" ht="14.4" x14ac:dyDescent="0.3">
      <c r="A11" s="1"/>
      <c r="B11" s="1"/>
      <c r="C11" s="1"/>
      <c r="D11" s="29" t="str">
        <f>"Fuel  Gal. ("&amp;N24&amp;" Max)"</f>
        <v>Fuel  Gal. (24 Max)</v>
      </c>
      <c r="E11" s="29"/>
      <c r="F11" s="30">
        <v>24</v>
      </c>
      <c r="G11" s="29"/>
      <c r="H11" s="29">
        <f>6*F11</f>
        <v>144</v>
      </c>
      <c r="I11" s="29"/>
      <c r="J11" s="31">
        <v>32.44</v>
      </c>
      <c r="K11" s="31"/>
      <c r="L11" s="32">
        <f>H11*J11</f>
        <v>4671.3599999999997</v>
      </c>
      <c r="M11" s="33"/>
      <c r="N11" s="14">
        <f>P11/O11</f>
        <v>10.935332561581408</v>
      </c>
      <c r="O11" s="14">
        <f>H11+O10</f>
        <v>1364.86</v>
      </c>
      <c r="P11" s="14">
        <f>L11+P10</f>
        <v>14925.198</v>
      </c>
      <c r="Q11" s="14"/>
      <c r="R11" s="1"/>
      <c r="S11" s="22"/>
    </row>
    <row r="12" spans="1:19" ht="14.4" x14ac:dyDescent="0.3">
      <c r="A12" s="1"/>
      <c r="B12" s="1"/>
      <c r="C12" s="1"/>
      <c r="D12" s="34" t="str">
        <f>"Ramp Weight (Max = "&amp;O19+H13&amp;" lbs)"</f>
        <v>Ramp Weight (Max = 1761 lbs)</v>
      </c>
      <c r="E12" s="34"/>
      <c r="F12" s="34"/>
      <c r="G12" s="34"/>
      <c r="H12" s="35">
        <f>O11</f>
        <v>1364.86</v>
      </c>
      <c r="I12" s="10"/>
      <c r="J12" s="35">
        <f>L12/H12</f>
        <v>10.935332561581408</v>
      </c>
      <c r="K12" s="35"/>
      <c r="L12" s="36">
        <f>SUM(L5:L11)</f>
        <v>14925.198</v>
      </c>
      <c r="M12" s="35"/>
      <c r="N12" s="35"/>
      <c r="O12" s="35"/>
      <c r="P12" s="35"/>
      <c r="Q12" s="14"/>
      <c r="R12" s="1"/>
      <c r="S12" s="22"/>
    </row>
    <row r="13" spans="1:19" ht="14.4" x14ac:dyDescent="0.3">
      <c r="A13" s="1"/>
      <c r="B13" s="1"/>
      <c r="C13" s="1"/>
      <c r="D13" s="37" t="s">
        <v>9</v>
      </c>
      <c r="E13" s="37"/>
      <c r="F13" s="38">
        <f>-0.5</f>
        <v>-0.5</v>
      </c>
      <c r="G13" s="37"/>
      <c r="H13" s="39">
        <f>F13*6</f>
        <v>-3</v>
      </c>
      <c r="I13" s="9"/>
      <c r="J13" s="40">
        <v>48</v>
      </c>
      <c r="K13" s="40"/>
      <c r="L13" s="41">
        <f>H13*J13</f>
        <v>-144</v>
      </c>
      <c r="M13" s="35"/>
      <c r="N13" s="35">
        <f>P13/O13</f>
        <v>10.853683932269103</v>
      </c>
      <c r="O13" s="35">
        <f>H13+O11</f>
        <v>1361.86</v>
      </c>
      <c r="P13" s="35">
        <f>L13+P11</f>
        <v>14781.198</v>
      </c>
      <c r="Q13" s="14"/>
      <c r="R13" s="1"/>
      <c r="S13" s="22"/>
    </row>
    <row r="14" spans="1:19" ht="14.4" x14ac:dyDescent="0.3">
      <c r="A14" s="1"/>
      <c r="B14" s="1"/>
      <c r="C14" s="1"/>
      <c r="D14" s="34" t="str">
        <f>"Take-Off Weight (Max = "&amp;O19&amp;" lbs)"</f>
        <v>Take-Off Weight (Max = 1764 lbs)</v>
      </c>
      <c r="E14" s="34"/>
      <c r="F14" s="34"/>
      <c r="G14" s="34"/>
      <c r="H14" s="35">
        <f>SUM(H12:H13)</f>
        <v>1361.86</v>
      </c>
      <c r="I14" s="10"/>
      <c r="J14" s="35">
        <f>L14/H14</f>
        <v>10.853683932269103</v>
      </c>
      <c r="K14" s="35"/>
      <c r="L14" s="36">
        <f>SUM(L12:L13)</f>
        <v>14781.198</v>
      </c>
      <c r="M14" s="35"/>
      <c r="N14" s="35"/>
      <c r="O14" s="35"/>
      <c r="P14" s="35"/>
      <c r="Q14" s="14"/>
      <c r="R14" s="1"/>
      <c r="S14" s="22"/>
    </row>
    <row r="15" spans="1:19" ht="14.4" x14ac:dyDescent="0.3">
      <c r="A15" s="1"/>
      <c r="B15" s="1"/>
      <c r="C15" s="1"/>
      <c r="D15" s="37" t="s">
        <v>10</v>
      </c>
      <c r="E15" s="37"/>
      <c r="F15" s="60"/>
      <c r="G15" s="37"/>
      <c r="H15" s="39">
        <f>-6*F15</f>
        <v>0</v>
      </c>
      <c r="I15" s="9"/>
      <c r="J15" s="40">
        <v>48</v>
      </c>
      <c r="K15" s="40"/>
      <c r="L15" s="42">
        <f>J15*H15</f>
        <v>0</v>
      </c>
      <c r="M15" s="35"/>
      <c r="N15" s="35">
        <f>P15/O15</f>
        <v>10.853683932269103</v>
      </c>
      <c r="O15" s="35">
        <f>H15+O13</f>
        <v>1361.86</v>
      </c>
      <c r="P15" s="35">
        <f>L15+P13</f>
        <v>14781.198</v>
      </c>
      <c r="Q15" s="14"/>
      <c r="R15" s="1"/>
      <c r="S15" s="22"/>
    </row>
    <row r="16" spans="1:19" ht="14.4" x14ac:dyDescent="0.3">
      <c r="A16" s="1"/>
      <c r="B16" s="1"/>
      <c r="C16" s="1"/>
      <c r="D16" s="34" t="s">
        <v>11</v>
      </c>
      <c r="E16" s="34"/>
      <c r="F16" s="34"/>
      <c r="G16" s="34"/>
      <c r="H16" s="35">
        <f>SUM(H14:H15)</f>
        <v>1361.86</v>
      </c>
      <c r="I16" s="10"/>
      <c r="J16" s="35">
        <f>L16/H16</f>
        <v>10.853683932269103</v>
      </c>
      <c r="K16" s="35"/>
      <c r="L16" s="36">
        <f>SUM(L14:L15)</f>
        <v>14781.198</v>
      </c>
      <c r="M16" s="35"/>
      <c r="N16" s="35"/>
      <c r="O16" s="35"/>
      <c r="P16" s="35"/>
      <c r="Q16" s="14"/>
      <c r="R16" s="1"/>
      <c r="S16" s="22"/>
    </row>
    <row r="17" spans="1:19" ht="10.199999999999999" x14ac:dyDescent="0.2">
      <c r="A17" s="1"/>
      <c r="B17" s="1"/>
      <c r="C17" s="1"/>
      <c r="D17" s="43" t="str">
        <f>IF(H14&gt;O19,"Warning: Maximum Gross Weight Exceeded","")</f>
        <v/>
      </c>
      <c r="E17" s="1"/>
      <c r="F17" s="1"/>
      <c r="G17" s="1"/>
      <c r="H17" s="1"/>
      <c r="I17" s="1"/>
      <c r="J17" s="14"/>
      <c r="K17" s="14"/>
      <c r="L17" s="14"/>
      <c r="M17" s="14"/>
      <c r="N17" s="14"/>
      <c r="O17" s="1"/>
      <c r="P17" s="14"/>
      <c r="Q17" s="1" t="s">
        <v>12</v>
      </c>
      <c r="R17" s="1" t="s">
        <v>12</v>
      </c>
      <c r="S17" s="1"/>
    </row>
    <row r="18" spans="1:19" ht="10.199999999999999" x14ac:dyDescent="0.2">
      <c r="A18" s="1"/>
      <c r="B18" s="1"/>
      <c r="C18" s="1"/>
      <c r="D18" s="43" t="str">
        <f>IF(((F10)&gt;O23),"Warning: Too Much Baggage","")</f>
        <v/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44" t="s">
        <v>13</v>
      </c>
      <c r="P18" s="44"/>
      <c r="Q18" s="1"/>
      <c r="R18" s="1"/>
      <c r="S18" s="1"/>
    </row>
    <row r="19" spans="1:19" ht="10.199999999999999" x14ac:dyDescent="0.2">
      <c r="A19" s="1"/>
      <c r="B19" s="1"/>
      <c r="C19" s="1"/>
      <c r="D19" s="43" t="str">
        <f>IF(F11&gt;N24,"Error: Too Much Fuel","")&amp;IF(F11&lt;O24,"Warning: Low Fuel","")</f>
        <v/>
      </c>
      <c r="E19" s="1"/>
      <c r="F19" s="1"/>
      <c r="G19" s="1"/>
      <c r="H19" s="1"/>
      <c r="I19" s="1"/>
      <c r="J19" s="14"/>
      <c r="K19" s="14"/>
      <c r="L19" s="14"/>
      <c r="M19" s="14"/>
      <c r="N19" s="1"/>
      <c r="O19" s="14">
        <v>1764</v>
      </c>
      <c r="P19" s="45" t="s">
        <v>14</v>
      </c>
      <c r="Q19" s="1"/>
      <c r="R19" s="1"/>
      <c r="S19" s="1"/>
    </row>
    <row r="20" spans="1:19" ht="10.199999999999999" x14ac:dyDescent="0.2">
      <c r="A20" s="1"/>
      <c r="B20" s="1"/>
      <c r="C20" s="1"/>
      <c r="D20" s="69" t="s">
        <v>27</v>
      </c>
      <c r="E20" s="69"/>
      <c r="F20" s="69"/>
      <c r="G20" s="69"/>
      <c r="H20" s="69"/>
      <c r="I20" s="69"/>
      <c r="J20" s="69"/>
      <c r="K20" s="69"/>
      <c r="L20" s="69"/>
      <c r="M20" s="14"/>
      <c r="N20" s="1"/>
      <c r="O20" s="66">
        <v>1215.8599999999999</v>
      </c>
      <c r="P20" s="45" t="s">
        <v>15</v>
      </c>
      <c r="Q20" s="1"/>
      <c r="R20" s="1"/>
      <c r="S20" s="1"/>
    </row>
    <row r="21" spans="1:19" ht="10.8" thickBot="1" x14ac:dyDescent="0.25">
      <c r="A21" s="1"/>
      <c r="B21" s="1"/>
      <c r="C21" s="1"/>
      <c r="D21" s="69"/>
      <c r="E21" s="69"/>
      <c r="F21" s="69"/>
      <c r="G21" s="69"/>
      <c r="H21" s="69"/>
      <c r="I21" s="69"/>
      <c r="J21" s="69"/>
      <c r="K21" s="69"/>
      <c r="L21" s="69"/>
      <c r="M21" s="14"/>
      <c r="N21" s="1"/>
      <c r="O21" s="14">
        <f>O19-O20</f>
        <v>548.1400000000001</v>
      </c>
      <c r="P21" s="45" t="s">
        <v>16</v>
      </c>
      <c r="Q21" s="1"/>
      <c r="R21" s="1"/>
      <c r="S21" s="1"/>
    </row>
    <row r="22" spans="1:19" ht="14.4" x14ac:dyDescent="0.3">
      <c r="A22" s="1"/>
      <c r="B22" s="46" t="s">
        <v>17</v>
      </c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14"/>
      <c r="N22" s="1"/>
      <c r="O22" s="14">
        <v>8.3000000000000007</v>
      </c>
      <c r="P22" s="45" t="s">
        <v>18</v>
      </c>
      <c r="Q22" s="1"/>
      <c r="R22" s="1"/>
      <c r="S22" s="1"/>
    </row>
    <row r="23" spans="1:19" ht="14.4" x14ac:dyDescent="0.3">
      <c r="A23" s="1"/>
      <c r="B23" s="63" t="s">
        <v>41</v>
      </c>
      <c r="C23" s="64" t="s">
        <v>31</v>
      </c>
      <c r="D23" s="61"/>
      <c r="E23" s="51"/>
      <c r="F23" s="51"/>
      <c r="G23" s="51"/>
      <c r="H23" s="51"/>
      <c r="I23" s="51"/>
      <c r="J23" s="51"/>
      <c r="K23" s="51"/>
      <c r="L23" s="52"/>
      <c r="M23" s="1"/>
      <c r="N23" s="1"/>
      <c r="O23" s="1">
        <v>44</v>
      </c>
      <c r="P23" s="45" t="s">
        <v>19</v>
      </c>
      <c r="Q23" s="1"/>
      <c r="R23" s="1"/>
      <c r="S23" s="1"/>
    </row>
    <row r="24" spans="1:19" ht="14.4" x14ac:dyDescent="0.3">
      <c r="A24" s="1"/>
      <c r="B24" s="49" t="s">
        <v>42</v>
      </c>
      <c r="C24" s="50" t="s">
        <v>32</v>
      </c>
      <c r="D24" s="51"/>
      <c r="E24" s="51"/>
      <c r="F24" s="51"/>
      <c r="G24" s="51"/>
      <c r="H24" s="51"/>
      <c r="I24" s="51"/>
      <c r="J24" s="51"/>
      <c r="K24" s="51"/>
      <c r="L24" s="52"/>
      <c r="M24" s="1"/>
      <c r="N24" s="15">
        <v>24</v>
      </c>
      <c r="O24" s="1">
        <v>5</v>
      </c>
      <c r="P24" s="45" t="s">
        <v>20</v>
      </c>
      <c r="Q24" s="1"/>
      <c r="R24" s="1"/>
      <c r="S24" s="1"/>
    </row>
    <row r="25" spans="1:19" ht="14.4" x14ac:dyDescent="0.3">
      <c r="A25" s="1"/>
      <c r="B25" s="49" t="s">
        <v>40</v>
      </c>
      <c r="C25" s="50" t="s">
        <v>33</v>
      </c>
      <c r="D25" s="51"/>
      <c r="E25" s="51"/>
      <c r="F25" s="51"/>
      <c r="G25" s="51"/>
      <c r="H25" s="51"/>
      <c r="I25" s="51"/>
      <c r="J25" s="51"/>
      <c r="K25" s="51"/>
      <c r="L25" s="52"/>
      <c r="M25" s="1"/>
      <c r="N25" s="14">
        <v>7.95</v>
      </c>
      <c r="O25" s="1">
        <v>1200</v>
      </c>
      <c r="P25" s="45" t="s">
        <v>21</v>
      </c>
      <c r="Q25" s="1"/>
      <c r="R25" s="1"/>
      <c r="S25" s="1"/>
    </row>
    <row r="26" spans="1:19" ht="14.4" x14ac:dyDescent="0.3">
      <c r="A26" s="1"/>
      <c r="B26" s="54" t="s">
        <v>36</v>
      </c>
      <c r="C26" s="50" t="s">
        <v>34</v>
      </c>
      <c r="D26" s="51"/>
      <c r="E26" s="51"/>
      <c r="F26" s="51"/>
      <c r="G26" s="51"/>
      <c r="H26" s="51"/>
      <c r="I26" s="51"/>
      <c r="J26" s="51"/>
      <c r="K26" s="1"/>
      <c r="L26" s="52"/>
      <c r="M26" s="1"/>
      <c r="N26" s="14">
        <v>7.95</v>
      </c>
      <c r="O26" s="1">
        <v>1653</v>
      </c>
      <c r="P26" s="45" t="s">
        <v>22</v>
      </c>
      <c r="Q26" s="1"/>
      <c r="R26" s="1"/>
      <c r="S26" s="1"/>
    </row>
    <row r="27" spans="1:19" ht="12.6" x14ac:dyDescent="0.25">
      <c r="A27" s="1"/>
      <c r="B27" s="49" t="s">
        <v>37</v>
      </c>
      <c r="C27" s="50" t="s">
        <v>35</v>
      </c>
      <c r="D27" s="1"/>
      <c r="E27" s="1"/>
      <c r="F27" s="1"/>
      <c r="G27" s="1"/>
      <c r="H27" s="1"/>
      <c r="I27" s="1"/>
      <c r="J27" s="1"/>
      <c r="K27" s="1"/>
      <c r="L27" s="52"/>
      <c r="M27" s="1"/>
      <c r="N27" s="14">
        <v>8.07</v>
      </c>
      <c r="O27" s="1">
        <v>1764</v>
      </c>
      <c r="P27" s="45" t="s">
        <v>24</v>
      </c>
      <c r="Q27" s="1"/>
      <c r="R27" s="1"/>
      <c r="S27" s="1"/>
    </row>
    <row r="28" spans="1:19" ht="12.6" x14ac:dyDescent="0.25">
      <c r="A28" s="1"/>
      <c r="B28" s="49" t="s">
        <v>38</v>
      </c>
      <c r="C28" s="53" t="s">
        <v>43</v>
      </c>
      <c r="D28" s="1"/>
      <c r="E28" s="1"/>
      <c r="F28" s="1"/>
      <c r="G28" s="1"/>
      <c r="H28" s="1"/>
      <c r="I28" s="1"/>
      <c r="J28" s="1"/>
      <c r="K28" s="1"/>
      <c r="L28" s="52"/>
      <c r="M28" s="1"/>
      <c r="N28" s="14">
        <v>12.16</v>
      </c>
      <c r="O28" s="1">
        <v>1764</v>
      </c>
      <c r="P28" s="45" t="s">
        <v>25</v>
      </c>
      <c r="Q28" s="1"/>
      <c r="R28" s="1"/>
      <c r="S28" s="1"/>
    </row>
    <row r="29" spans="1:19" ht="13.2" thickBot="1" x14ac:dyDescent="0.3">
      <c r="A29" s="1"/>
      <c r="B29" s="49" t="s">
        <v>39</v>
      </c>
      <c r="C29" s="53" t="s">
        <v>23</v>
      </c>
      <c r="D29" s="1"/>
      <c r="E29" s="1"/>
      <c r="F29" s="1"/>
      <c r="G29" s="1"/>
      <c r="H29" s="1"/>
      <c r="I29" s="1"/>
      <c r="J29" s="1"/>
      <c r="K29" s="1"/>
      <c r="L29" s="52"/>
      <c r="M29" s="1"/>
      <c r="N29" s="14">
        <v>12.48</v>
      </c>
      <c r="O29" s="1">
        <v>1653</v>
      </c>
      <c r="P29" s="45" t="s">
        <v>26</v>
      </c>
      <c r="Q29" s="1"/>
      <c r="R29" s="1"/>
      <c r="S29" s="1"/>
    </row>
    <row r="30" spans="1:19" ht="12.6" x14ac:dyDescent="0.25">
      <c r="A30" s="1"/>
      <c r="B30" s="62"/>
      <c r="C30" s="62"/>
      <c r="D30" s="1"/>
      <c r="E30" s="1"/>
      <c r="F30" s="1"/>
      <c r="G30" s="1"/>
      <c r="H30" s="1"/>
      <c r="I30" s="1"/>
      <c r="J30" s="1"/>
      <c r="K30" s="1"/>
      <c r="L30" s="52"/>
      <c r="M30" s="1"/>
      <c r="N30" s="14">
        <v>12.48</v>
      </c>
      <c r="O30" s="1">
        <v>1200</v>
      </c>
      <c r="P30" s="45" t="s">
        <v>28</v>
      </c>
      <c r="Q30" s="1"/>
      <c r="R30" s="1"/>
      <c r="S30" s="1"/>
    </row>
    <row r="31" spans="1:19" ht="12.6" x14ac:dyDescent="0.25">
      <c r="A31" s="1"/>
      <c r="B31" s="10"/>
      <c r="C31" s="10"/>
      <c r="D31" s="10"/>
      <c r="E31" s="1"/>
      <c r="F31" s="1"/>
      <c r="G31" s="1"/>
      <c r="H31" s="1"/>
      <c r="I31" s="1"/>
      <c r="J31" s="1"/>
      <c r="K31" s="1"/>
      <c r="L31" s="52"/>
      <c r="M31" s="1"/>
      <c r="N31" s="14"/>
      <c r="O31" s="1"/>
      <c r="P31" s="45"/>
      <c r="Q31" s="1"/>
      <c r="R31" s="1"/>
      <c r="S31" s="1"/>
    </row>
    <row r="32" spans="1:19" ht="12.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52"/>
      <c r="M32" s="1"/>
      <c r="N32" s="14"/>
      <c r="O32" s="1"/>
      <c r="P32" s="45"/>
      <c r="Q32" s="1"/>
      <c r="R32" s="1"/>
      <c r="S32" s="1"/>
    </row>
    <row r="33" spans="1:19" ht="12.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52"/>
      <c r="M33" s="1"/>
      <c r="N33" s="14"/>
      <c r="O33" s="1"/>
      <c r="P33" s="45"/>
      <c r="Q33" s="1"/>
      <c r="R33" s="1"/>
      <c r="S33" s="1"/>
    </row>
    <row r="34" spans="1:19" ht="14.4" x14ac:dyDescent="0.3">
      <c r="A34" s="55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ht="14.4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ht="14.4" x14ac:dyDescent="0.3">
      <c r="C36" s="55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ht="14.4" x14ac:dyDescent="0.3"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7"/>
      <c r="N37" s="59"/>
    </row>
    <row r="38" spans="1:19" ht="12.75" customHeight="1" x14ac:dyDescent="0.2">
      <c r="C38" s="55"/>
      <c r="N38" s="59"/>
    </row>
    <row r="39" spans="1:19" ht="12.75" customHeight="1" x14ac:dyDescent="0.2">
      <c r="C39" s="55"/>
      <c r="N39" s="59"/>
    </row>
    <row r="40" spans="1:19" ht="10.199999999999999" x14ac:dyDescent="0.2">
      <c r="C40" s="55"/>
      <c r="D40" s="59"/>
      <c r="E40" s="59"/>
      <c r="F40" s="59"/>
      <c r="G40" s="59"/>
      <c r="H40" s="59"/>
      <c r="I40" s="59"/>
      <c r="J40" s="59"/>
      <c r="K40" s="59"/>
      <c r="L40" s="59"/>
      <c r="N40" s="59"/>
    </row>
    <row r="41" spans="1:19" ht="14.4" x14ac:dyDescent="0.3">
      <c r="D41" s="56"/>
      <c r="E41" s="58"/>
      <c r="F41" s="58"/>
      <c r="G41" s="58"/>
      <c r="H41" s="58"/>
      <c r="I41" s="58"/>
      <c r="J41" s="58"/>
      <c r="K41" s="58"/>
      <c r="L41" s="57"/>
      <c r="M41" s="59"/>
      <c r="N41" s="59"/>
    </row>
    <row r="42" spans="1:19" ht="14.4" x14ac:dyDescent="0.3">
      <c r="D42" s="58"/>
      <c r="E42" s="58"/>
      <c r="F42" s="58"/>
      <c r="G42" s="58"/>
      <c r="H42" s="58"/>
      <c r="I42" s="58"/>
      <c r="J42" s="58"/>
      <c r="K42" s="58"/>
      <c r="L42" s="57"/>
      <c r="M42" s="59"/>
    </row>
    <row r="43" spans="1:19" ht="14.4" x14ac:dyDescent="0.3">
      <c r="D43" s="57"/>
      <c r="E43" s="57"/>
      <c r="F43" s="57"/>
      <c r="G43" s="57"/>
      <c r="H43" s="57"/>
      <c r="I43" s="57"/>
      <c r="J43" s="57"/>
      <c r="K43" s="57"/>
      <c r="L43" s="57"/>
      <c r="M43" s="59"/>
    </row>
    <row r="44" spans="1:19" ht="10.199999999999999" x14ac:dyDescent="0.2">
      <c r="D44" s="59"/>
      <c r="E44" s="59"/>
      <c r="F44" s="59"/>
      <c r="G44" s="59"/>
      <c r="H44" s="59"/>
      <c r="I44" s="59"/>
      <c r="J44" s="59"/>
      <c r="K44" s="59"/>
      <c r="L44" s="59"/>
      <c r="M44" s="59"/>
    </row>
    <row r="45" spans="1:19" ht="10.199999999999999" x14ac:dyDescent="0.2"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9" ht="10.199999999999999" x14ac:dyDescent="0.2">
      <c r="M46" s="59"/>
    </row>
  </sheetData>
  <mergeCells count="2">
    <mergeCell ref="L1:S2"/>
    <mergeCell ref="D20:L21"/>
  </mergeCells>
  <pageMargins left="0.7" right="0.7" top="0.75" bottom="0.75" header="0.3" footer="0.3"/>
  <pageSetup orientation="portrait" horizontalDpi="300" verticalDpi="300" r:id="rId1"/>
  <ignoredErrors>
    <ignoredError sqref="H15 L15 L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N595GL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Dahline</dc:creator>
  <cp:lastModifiedBy>Matt Dahline</cp:lastModifiedBy>
  <dcterms:created xsi:type="dcterms:W3CDTF">2011-10-20T16:37:41Z</dcterms:created>
  <dcterms:modified xsi:type="dcterms:W3CDTF">2014-09-03T19:08:36Z</dcterms:modified>
</cp:coreProperties>
</file>